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<sst xmlns="http://schemas.openxmlformats.org/spreadsheetml/2006/main" count="609" uniqueCount="358">
  <si>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</si>
  <si>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</si>
  <si>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</si>
  <si>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</si>
  <si>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</si>
  <si>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</si>
  <si>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</si>
  <si>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</si>
  <si>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</si>
  <si>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</si>
  <si>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</si>
  <si>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</si>
  <si>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</si>
  <si>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</si>
  <si>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</si>
  <si>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</si>
  <si>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</si>
  <si>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</si>
  <si>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</si>
  <si>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</si>
  <si>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</si>
  <si>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</si>
  <si>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</si>
  <si>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</si>
  <si>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</si>
  <si>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</si>
  <si>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</si>
  <si>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</si>
  <si>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</si>
  <si>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</si>
  <si>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</si>
  <si>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</si>
  <si>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</si>
  <si>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</si>
  <si>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</si>
  <si>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</si>
  <si>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</si>
  <si>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</si>
  <si>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</si>
  <si>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</si>
  <si>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</si>
  <si>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</si>
  <si>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</si>
  <si>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</si>
  <si>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</si>
  <si>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</si>
  <si>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</si>
  <si>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</si>
  <si>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</si>
  <si>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</si>
  <si>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</si>
  <si>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</si>
  <si>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</si>
  <si>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</si>
  <si>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</si>
  <si>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</si>
  <si>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</si>
  <si>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</si>
  <si>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</si>
  <si>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</si>
  <si>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</si>
  <si>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</si>
  <si>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</si>
  <si>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</si>
  <si>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</si>
  <si>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</si>
  <si>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</si>
  <si>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</si>
  <si>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</si>
  <si>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</si>
  <si>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</si>
  <si>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</si>
  <si>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</si>
  <si>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</si>
  <si>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</si>
  <si>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</si>
  <si>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</si>
  <si>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</si>
  <si>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</si>
  <si>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</si>
  <si>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</si>
  <si>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</si>
  <si>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</si>
  <si>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</si>
  <si>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</si>
  <si>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</si>
  <si>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</si>
  <si>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</si>
  <si>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</si>
  <si>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</si>
  <si>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</si>
  <si>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</si>
  <si>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</si>
  <si>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</si>
  <si>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</si>
  <si>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</si>
  <si>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</si>
  <si>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</si>
  <si>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</si>
  <si>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</si>
  <si>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</si>
  <si>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</si>
  <si>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</si>
  <si>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</si>
  <si>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</si>
  <si>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</si>
  <si>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</si>
  <si>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</si>
  <si>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</si>
  <si>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</si>
  <si>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</si>
  <si>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</si>
  <si>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</si>
  <si>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</si>
  <si>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</si>
  <si>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</si>
  <si>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</si>
  <si>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</si>
  <si>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</si>
  <si>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</si>
  <si>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</si>
  <si>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</si>
  <si>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</si>
  <si>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</si>
  <si>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</si>
  <si>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</si>
  <si>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</si>
  <si>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</si>
  <si>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</si>
  <si>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</si>
  <si>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</si>
  <si>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</si>
  <si>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</si>
  <si>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</si>
  <si>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</si>
  <si>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</si>
  <si>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</si>
  <si>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</si>
  <si>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</si>
  <si>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</si>
  <si>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</si>
  <si>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</si>
  <si>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</si>
  <si>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</si>
  <si>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</si>
  <si>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</si>
  <si>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</si>
  <si>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</si>
  <si>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</si>
  <si>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</si>
  <si>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</si>
  <si>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</si>
  <si>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</si>
  <si>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</si>
  <si>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</si>
  <si>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</si>
  <si>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</si>
  <si>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</si>
  <si>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</si>
  <si>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</si>
  <si>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</si>
  <si>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</si>
  <si>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</si>
  <si>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</si>
  <si>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</si>
  <si>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</si>
  <si>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</si>
  <si>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</si>
  <si>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</si>
  <si>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</si>
  <si>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</si>
  <si>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</si>
  <si>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</si>
  <si>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</si>
  <si>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</si>
  <si>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</si>
  <si>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</si>
  <si>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</si>
  <si>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</si>
  <si>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</si>
  <si>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</si>
  <si>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2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</si>
  <si>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2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</si>
  <si>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</si>
  <si>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</si>
  <si>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</si>
  <si>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</si>
  <si>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</si>
  <si>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</si>
  <si>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</si>
  <si>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</si>
  <si>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</si>
  <si>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</si>
  <si>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</si>
  <si>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</si>
  <si>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</si>
  <si>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</si>
  <si>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</si>
  <si>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</si>
  <si>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</si>
  <si>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</si>
  <si>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</si>
  <si>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</si>
  <si>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</si>
  <si>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</si>
  <si>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</si>
  <si>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</si>
  <si>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</si>
  <si>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2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</si>
  <si>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2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</si>
  <si>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</si>
  <si>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</si>
  <si>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</si>
  <si>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</si>
  <si>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2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2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2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</si>
  <si>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</si>
  <si>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</si>
  <si>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</si>
  <si>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</si>
  <si>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</si>
  <si>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</si>
  <si>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</si>
  <si>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</si>
  <si>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</si>
  <si>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</si>
  <si>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</si>
  <si>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</si>
  <si>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</si>
  <si>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</si>
  <si>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</si>
  <si>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</si>
  <si>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</si>
  <si>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</si>
  <si>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</si>
  <si>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</si>
  <si>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</si>
  <si>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</si>
  <si>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</si>
  <si>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</si>
  <si>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</si>
  <si>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</si>
  <si>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</si>
  <si>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</si>
  <si>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</si>
  <si>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</si>
  <si>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</si>
  <si>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</si>
  <si>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</si>
  <si>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</si>
  <si>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</si>
  <si>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</si>
  <si>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</si>
  <si>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</si>
  <si>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</si>
  <si>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</si>
  <si>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</si>
  <si>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</si>
  <si>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</si>
  <si>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</si>
  <si>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</si>
  <si>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</si>
  <si>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</si>
  <si>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</si>
  <si>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</si>
  <si>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</si>
  <si>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</si>
  <si>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</si>
  <si>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</si>
  <si>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</si>
  <si>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</si>
  <si>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</si>
  <si>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</si>
  <si>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</si>
  <si>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</si>
  <si>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</si>
  <si>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</si>
  <si>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</si>
  <si>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</si>
  <si>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</si>
  <si>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</si>
  <si>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</si>
  <si>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</si>
  <si>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</si>
  <si>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</si>
  <si>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</si>
  <si>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</si>
  <si>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</si>
  <si>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</si>
  <si>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</si>
  <si>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</si>
  <si>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</si>
  <si>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</si>
  <si>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</si>
  <si>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</si>
  <si>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</si>
  <si>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</si>
  <si>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</si>
  <si>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</si>
  <si>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</si>
  <si>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</si>
  <si>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</si>
  <si>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</si>
  <si>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</si>
  <si>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</si>
  <si>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</si>
  <si>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</si>
  <si>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</si>
  <si>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</si>
  <si>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</si>
  <si>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</si>
  <si>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</si>
  <si>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</si>
  <si>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</si>
  <si>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</si>
  <si>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</si>
  <si>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</si>
  <si>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</si>
  <si>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</si>
  <si>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</si>
  <si>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</si>
  <si>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</si>
  <si>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</si>
  <si>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</si>
  <si>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</si>
  <si>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</si>
  <si>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</si>
  <si>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</si>
  <si>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</si>
  <si>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</si>
  <si>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</si>
  <si>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</si>
  <si>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</si>
  <si>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</si>
  <si>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</si>
  <si>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</si>
  <si>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</si>
  <si>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</si>
  <si>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</si>
  <si>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</si>
  <si>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</si>
  <si>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L9-2015</t>
  </si>
  <si>
    <t>570/15</t>
  </si>
  <si>
    <t>15:45</t>
  </si>
  <si>
    <t>16:15</t>
  </si>
  <si>
    <t>MN, CN</t>
  </si>
  <si>
    <t>2, 5-8</t>
  </si>
  <si>
    <t>nej</t>
  </si>
  <si>
    <t>13:10</t>
  </si>
  <si>
    <t>13:30</t>
  </si>
  <si>
    <t>LN, CN</t>
  </si>
  <si>
    <t>3, 5-8</t>
  </si>
  <si>
    <t>HSM66</t>
  </si>
  <si>
    <t>HSM85</t>
  </si>
  <si>
    <t>09:30</t>
  </si>
  <si>
    <t>10:00</t>
  </si>
  <si>
    <t>MN NJH</t>
  </si>
  <si>
    <t>4, 7</t>
  </si>
  <si>
    <t>HSM-66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</si>
</sst>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0.7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N25" sqref="CN25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152725</v>
      </c>
      <c r="B2" s="109" t="s">
        <v>340</v>
      </c>
      <c r="C2" s="109" t="s">
        <v>341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42116</v>
      </c>
      <c r="E3" s="145"/>
      <c r="F3" s="140">
        <v>42142</v>
      </c>
      <c r="G3" s="145"/>
      <c r="H3" s="154">
        <v>42149</v>
      </c>
      <c r="I3" s="15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342</v>
      </c>
      <c r="E4" s="70" t="s">
        <v>343</v>
      </c>
      <c r="F4" s="70" t="s">
        <v>347</v>
      </c>
      <c r="G4" s="70" t="s">
        <v>348</v>
      </c>
      <c r="H4" s="156" t="s">
        <v>353</v>
      </c>
      <c r="I4" s="156" t="s">
        <v>354</v>
      </c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344</v>
      </c>
      <c r="E5" s="139"/>
      <c r="F5" s="138" t="s">
        <v>349</v>
      </c>
      <c r="G5" s="139"/>
      <c r="H5" s="157" t="s">
        <v>355</v>
      </c>
      <c r="I5" s="158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33" t="s">
        <v>345</v>
      </c>
      <c r="E6" s="134"/>
      <c r="F6" s="133" t="s">
        <v>350</v>
      </c>
      <c r="G6" s="134"/>
      <c r="H6" s="159" t="s">
        <v>356</v>
      </c>
      <c r="I6" s="160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 t="s">
        <v>134</v>
      </c>
      <c r="E7" s="144"/>
      <c r="F7" s="143" t="s">
        <v>134</v>
      </c>
      <c r="G7" s="144"/>
      <c r="H7" s="161" t="s">
        <v>134</v>
      </c>
      <c r="I7" s="162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352</v>
      </c>
      <c r="E8" s="137"/>
      <c r="F8" s="136" t="s">
        <v>351</v>
      </c>
      <c r="G8" s="137"/>
      <c r="H8" s="163" t="s">
        <v>357</v>
      </c>
      <c r="I8" s="164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>
        <v>200</v>
      </c>
      <c r="G9" s="132"/>
      <c r="H9" s="165">
        <v>200</v>
      </c>
      <c r="I9" s="166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2.5</v>
      </c>
      <c r="E10" s="97">
        <v>2.6</v>
      </c>
      <c r="F10" s="97">
        <v>2.5</v>
      </c>
      <c r="G10" s="97">
        <v>2.6</v>
      </c>
      <c r="H10" s="167">
        <v>2.5</v>
      </c>
      <c r="I10" s="167">
        <v>2.6</v>
      </c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14</v>
      </c>
      <c r="E12" s="97">
        <v>58</v>
      </c>
      <c r="F12" s="97">
        <v>13</v>
      </c>
      <c r="G12" s="97">
        <v>54</v>
      </c>
      <c r="H12" s="167">
        <v>15</v>
      </c>
      <c r="I12" s="167">
        <v>60</v>
      </c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302</v>
      </c>
      <c r="E13" s="97">
        <v>3</v>
      </c>
      <c r="F13" s="98" t="s">
        <v>301</v>
      </c>
      <c r="G13" s="97">
        <v>2</v>
      </c>
      <c r="H13" s="168"/>
      <c r="I13" s="167">
        <v>0</v>
      </c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0</v>
      </c>
      <c r="E14" s="128"/>
      <c r="F14" s="127">
        <v>75</v>
      </c>
      <c r="G14" s="128"/>
      <c r="H14" s="169">
        <v>95</v>
      </c>
      <c r="I14" s="170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13</v>
      </c>
      <c r="E15" s="128"/>
      <c r="F15" s="127">
        <v>16</v>
      </c>
      <c r="G15" s="128"/>
      <c r="H15" s="169">
        <v>16</v>
      </c>
      <c r="I15" s="170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128</v>
      </c>
      <c r="E16" s="130"/>
      <c r="F16" s="129" t="s">
        <v>125</v>
      </c>
      <c r="G16" s="130"/>
      <c r="H16" s="171" t="s">
        <v>128</v>
      </c>
      <c r="I16" s="172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125</v>
      </c>
      <c r="E17" s="130"/>
      <c r="F17" s="129" t="s">
        <v>125</v>
      </c>
      <c r="G17" s="130"/>
      <c r="H17" s="171" t="s">
        <v>128</v>
      </c>
      <c r="I17" s="172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 t="s">
        <v>253</v>
      </c>
      <c r="G18" s="130"/>
      <c r="H18" s="171" t="s">
        <v>253</v>
      </c>
      <c r="I18" s="172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31</v>
      </c>
      <c r="E20" s="128"/>
      <c r="F20" s="127">
        <v>53</v>
      </c>
      <c r="G20" s="128"/>
      <c r="H20" s="169">
        <v>59</v>
      </c>
      <c r="I20" s="170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27</v>
      </c>
      <c r="E21" s="96">
        <v>90</v>
      </c>
      <c r="F21" s="96">
        <v>70</v>
      </c>
      <c r="G21" s="96">
        <v>90</v>
      </c>
      <c r="H21" s="173">
        <v>88</v>
      </c>
      <c r="I21" s="173">
        <v>95</v>
      </c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 t="s">
        <v>125</v>
      </c>
      <c r="G22" s="130"/>
      <c r="H22" s="171" t="s">
        <v>125</v>
      </c>
      <c r="I22" s="172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 t="s">
        <v>131</v>
      </c>
      <c r="G23" s="130"/>
      <c r="H23" s="171" t="s">
        <v>131</v>
      </c>
      <c r="I23" s="172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 t="s">
        <v>346</v>
      </c>
      <c r="E24" s="128"/>
      <c r="F24" s="127" t="s">
        <v>346</v>
      </c>
      <c r="G24" s="128"/>
      <c r="H24" s="169" t="s">
        <v>346</v>
      </c>
      <c r="I24" s="170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 t="str">
        <f>D7</f>
        <v>X Välj spruta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 t="str">
        <f>HLOOKUP(D$7,$M$2:$T$20,2)</f>
        <v> 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 t="str">
        <f>HLOOKUP(D$7,$M$2:$T$20,3)</f>
        <v> 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 t="str">
        <f>HLOOKUP(D$7,$M$2:$T$20,4)</f>
        <v> 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 t="str">
        <f>HLOOKUP(D$7,$M$2:$T$20,5)</f>
        <v> 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 t="str">
        <f>HLOOKUP(D$7,$M$2:$T$20,6)</f>
        <v> 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 t="str">
        <f>HLOOKUP(D$7,$M$2:$T$20,7)</f>
        <v> 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 t="str">
        <f>HLOOKUP(D$7,$M$2:$T$20,8)</f>
        <v> 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 t="str">
        <f>HLOOKUP(D$7,$M$2:$T$20,9)</f>
        <v> 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 t="str">
        <f>HLOOKUP(D$7,$M$2:$T$20,10)</f>
        <v> 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 t="str">
        <f>HLOOKUP(D$7,$M$2:$T$20,11)</f>
        <v> 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 t="str">
        <f>HLOOKUP(D$7,$M$2:$T$20,12)</f>
        <v> 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 t="str">
        <f>HLOOKUP(D$7,$M$2:$T$20,13)</f>
        <v> 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 t="str">
        <f>HLOOKUP(D$7,$M$2:$T$20,14)</f>
        <v> 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 t="str">
        <f>HLOOKUP(D$7,$M$2:$T$20,15)</f>
        <v> 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 t="str">
        <f>HLOOKUP(D$7,$M$2:$T$20,16)</f>
        <v> 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 t="str">
        <f>HLOOKUP(D$7,$M$2:$T$20,17)</f>
        <v> 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 t="str">
        <f>HLOOKUP(D$7,$M$2:$T$20,18)</f>
        <v> 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 t="str">
        <f>HLOOKUP(D$7,$M$2:$T$20,19)</f>
        <v> 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F13 H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152725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42116</v>
      </c>
      <c r="C3" s="77">
        <f>Sprutjournal!F3</f>
        <v>42142</v>
      </c>
      <c r="D3" s="77">
        <f>Sprutjournal!H3</f>
        <v>42149</v>
      </c>
      <c r="E3" s="77">
        <f>Sprutjournal!J3</f>
        <v>0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15:45</v>
      </c>
      <c r="C4" s="78" t="str">
        <f>Sprutjournal!F4</f>
        <v>13:10</v>
      </c>
      <c r="D4" s="78" t="str">
        <f>Sprutjournal!H4</f>
        <v>09:30</v>
      </c>
      <c r="E4" s="78">
        <f>Sprutjournal!J4</f>
        <v>0</v>
      </c>
      <c r="F4" s="79" t="s">
        <v>235</v>
      </c>
      <c r="G4" s="78" t="str">
        <f>Sprutjournal!D8</f>
        <v>HSM85</v>
      </c>
      <c r="H4" s="78" t="str">
        <f>Sprutjournal!F8</f>
        <v>HSM66</v>
      </c>
      <c r="I4" s="78" t="str">
        <f>Sprutjournal!H8</f>
        <v>HSM-66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MN, CN</v>
      </c>
      <c r="C5" s="78" t="str">
        <f>Sprutjournal!F5</f>
        <v>LN, CN</v>
      </c>
      <c r="D5" s="78" t="str">
        <f>Sprutjournal!H5</f>
        <v>MN NJH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2, 5-8</v>
      </c>
      <c r="C6" s="78" t="str">
        <f>Sprutjournal!F6</f>
        <v>3, 5-8</v>
      </c>
      <c r="D6" s="78" t="str">
        <f>Sprutjournal!H6</f>
        <v>4, 7</v>
      </c>
      <c r="E6" s="78">
        <f>Sprutjournal!J6</f>
        <v>0</v>
      </c>
      <c r="F6" s="76" t="s">
        <v>237</v>
      </c>
      <c r="G6" s="81">
        <f>Sprutjournal!D10</f>
        <v>2.5</v>
      </c>
      <c r="H6" s="81">
        <f>Sprutjournal!F10</f>
        <v>2.5</v>
      </c>
      <c r="I6" s="81">
        <f>Sprutjournal!H10</f>
        <v>2.5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31</v>
      </c>
      <c r="C7" s="80">
        <f>Sprutjournal!F20</f>
        <v>53</v>
      </c>
      <c r="D7" s="80">
        <f>Sprutjournal!H20</f>
        <v>59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FOLIAR</v>
      </c>
      <c r="D9" s="80" t="str">
        <f>IF(D7&lt;7,"Pre-emerg",IF(D7&lt;10,"After emerg","FOLIAR"))</f>
        <v>FOLIAR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200</v>
      </c>
      <c r="D10" s="78">
        <f>Sprutjournal!H9</f>
        <v>200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2.5</v>
      </c>
      <c r="D11" s="78">
        <f>Sprutjournal!H10</f>
        <v>2.5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58</v>
      </c>
      <c r="C12" s="78">
        <f>Sprutjournal!G12</f>
        <v>54</v>
      </c>
      <c r="D12" s="78">
        <f>Sprutjournal!I12</f>
        <v>60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3</v>
      </c>
      <c r="C13" s="78">
        <f>Sprutjournal!G13</f>
        <v>2</v>
      </c>
      <c r="D13" s="78">
        <f>Sprutjournal!I13</f>
        <v>0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WSW</v>
      </c>
      <c r="C14" s="78" t="str">
        <f>VLOOKUP(Sprutjournal!F13,Sprutjournal!$M26:$N41,2)</f>
        <v>SW</v>
      </c>
      <c r="D14" s="78" t="e">
        <f>VLOOKUP(Sprutjournal!H13,Sprutjournal!$M26:$N41,2)</f>
        <v>#N/A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No</v>
      </c>
      <c r="D15" s="80" t="str">
        <f>IF(Sprutjournal!H23="Ingen","No","Yes")</f>
        <v>No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13</v>
      </c>
      <c r="C16" s="78">
        <f>Sprutjournal!F15</f>
        <v>16</v>
      </c>
      <c r="D16" s="78">
        <f>Sprutjournal!H15</f>
        <v>16</v>
      </c>
      <c r="E16" s="78">
        <f>Sprutjournal!J15</f>
        <v>0</v>
      </c>
      <c r="F16" s="76" t="s">
        <v>247</v>
      </c>
      <c r="G16" s="80">
        <f>Sprutjournal!E10</f>
        <v>2.6</v>
      </c>
      <c r="H16" s="80">
        <f>Sprutjournal!G10</f>
        <v>2.6</v>
      </c>
      <c r="I16" s="80">
        <f>Sprutjournal!I10</f>
        <v>2.6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Normal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0</v>
      </c>
      <c r="C18" s="78">
        <f>Sprutjournal!F14</f>
        <v>75</v>
      </c>
      <c r="D18" s="78">
        <f>Sprutjournal!H14</f>
        <v>95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42116</v>
      </c>
      <c r="C24" s="84">
        <f t="shared" si="7"/>
        <v>42142</v>
      </c>
      <c r="D24" s="84">
        <f t="shared" si="7"/>
        <v>42149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15:45</v>
      </c>
      <c r="C25" s="84" t="str">
        <f t="shared" si="7"/>
        <v>13:10</v>
      </c>
      <c r="D25" s="84" t="str">
        <f t="shared" si="7"/>
        <v>09:30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31</v>
      </c>
      <c r="C27" s="45">
        <f>C7</f>
        <v>53</v>
      </c>
      <c r="D27" s="45">
        <f>D7</f>
        <v>59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FOLIAR</v>
      </c>
      <c r="D28" s="45" t="str">
        <f>D9</f>
        <v>FOLIAR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MN, CN</v>
      </c>
      <c r="C29" s="45" t="str">
        <f>C5</f>
        <v>LN, CN</v>
      </c>
      <c r="D29" s="45" t="str">
        <f>D5</f>
        <v>MN NJH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2.5</v>
      </c>
      <c r="D30" s="45">
        <f>D11</f>
        <v>2.5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58</v>
      </c>
      <c r="C32" s="85">
        <f t="shared" si="8"/>
        <v>54</v>
      </c>
      <c r="D32" s="85">
        <f t="shared" si="8"/>
        <v>60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3</v>
      </c>
      <c r="C33" s="45">
        <f t="shared" si="8"/>
        <v>2</v>
      </c>
      <c r="D33" s="45">
        <f t="shared" si="8"/>
        <v>0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WSW</v>
      </c>
      <c r="C35" s="45" t="str">
        <f>C14</f>
        <v>SW</v>
      </c>
      <c r="D35" s="45" t="e">
        <f>D14</f>
        <v>#N/A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N</v>
      </c>
      <c r="D36" s="45" t="str">
        <f>IF(D15="Yes","Y","N")</f>
        <v>N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No</v>
      </c>
      <c r="D37" s="45" t="str">
        <f t="shared" si="9"/>
        <v>No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13</v>
      </c>
      <c r="C38" s="45">
        <f t="shared" si="9"/>
        <v>16</v>
      </c>
      <c r="D38" s="45">
        <f t="shared" si="9"/>
        <v>16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Normal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0</v>
      </c>
      <c r="C41" s="45">
        <f t="shared" si="10"/>
        <v>75</v>
      </c>
      <c r="D41" s="45">
        <f t="shared" si="10"/>
        <v>95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2015-05-26T07:52:51Z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